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INPUTS" sheetId="2" state="visible" r:id="rId4"/>
    <sheet name="EXPOSURE" sheetId="3" state="visible" r:id="rId5"/>
    <sheet name="SENSITIVITY" sheetId="4" state="visible" r:id="rId6"/>
    <sheet name="HEDGE TRIGGER" sheetId="5" state="visible" r:id="rId7"/>
    <sheet name="MULTI-CURRENCY" sheetId="6" state="visible" r:id="rId8"/>
    <sheet name="AUDIT LOG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<sst xmlns="http://schemas.openxmlformats.org/spreadsheetml/2006/main" count="192" uniqueCount="177">
  <si>
    <t xml:space="preserve">| Rzzro</t>
  </si>
  <si>
    <t xml:space="preserve">FX Exposure Intelligence Model</t>
  </si>
  <si>
    <t xml:space="preserve">Procurement Currency Risk — Analysis Template</t>
  </si>
  <si>
    <t xml:space="preserve">Reduce risk. Increase leverage.</t>
  </si>
  <si>
    <t xml:space="preserve">PURPOSE</t>
  </si>
  <si>
    <t xml:space="preserve">Quantify total FX exposure on commodity purchases. Identify hedge triggers.</t>
  </si>
  <si>
    <t xml:space="preserve">Compare sourcing cost across currencies. Export audit-ready outputs.</t>
  </si>
  <si>
    <t xml:space="preserve">HOW TO USE</t>
  </si>
  <si>
    <t xml:space="preserve">1.  Go to the INPUTS tab. Fill all blue cells.</t>
  </si>
  <si>
    <t xml:space="preserve">2.  Review EXPOSURE tab for total risk position.</t>
  </si>
  <si>
    <t xml:space="preserve">3.  Review SENSITIVITY tab for scenario matrix.</t>
  </si>
  <si>
    <t xml:space="preserve">4.  Review HEDGE TRIGGER tab for coverage threshold.</t>
  </si>
  <si>
    <t xml:space="preserve">5.  Review MULTI-CURRENCY tab to compare sourcing markets.</t>
  </si>
  <si>
    <t xml:space="preserve">COLOR CONVENTION</t>
  </si>
  <si>
    <t xml:space="preserve">Blue text   →   Input cell. Edit freely.</t>
  </si>
  <si>
    <t xml:space="preserve">Black text  →   Formula. Do not edit.</t>
  </si>
  <si>
    <t xml:space="preserve">Green text  →   Cross-sheet link.</t>
  </si>
  <si>
    <t xml:space="preserve">DISCLAIMER</t>
  </si>
  <si>
    <t xml:space="preserve">This model does not constitute financial or hedging advice.</t>
  </si>
  <si>
    <t xml:space="preserve">All FX rates must be updated manually by the user.</t>
  </si>
  <si>
    <t xml:space="preserve">Verify rates against your treasury or bank before decisions.</t>
  </si>
  <si>
    <t xml:space="preserve">rzzro.com  ·  Procurement, quantified.</t>
  </si>
  <si>
    <t xml:space="preserve">| Rzzro  ·  INPUTS — FX Exposure Intelligence Model</t>
  </si>
  <si>
    <t xml:space="preserve">  SECTION 1 — COMMODITY &amp; PURCHASE PARAMETERS</t>
  </si>
  <si>
    <t xml:space="preserve">Commodity / Material Description</t>
  </si>
  <si>
    <t xml:space="preserve">Steel HRC Coil</t>
  </si>
  <si>
    <t xml:space="preserve">Text description of the commodity being purchased</t>
  </si>
  <si>
    <t xml:space="preserve">Price per Unit (USD)</t>
  </si>
  <si>
    <t xml:space="preserve">USD price per unit at time of analysis</t>
  </si>
  <si>
    <t xml:space="preserve">Unit of Measure</t>
  </si>
  <si>
    <t xml:space="preserve">MT</t>
  </si>
  <si>
    <t xml:space="preserve">MT / lb / kg / piece / other</t>
  </si>
  <si>
    <t xml:space="preserve">Purchase Volume (units)</t>
  </si>
  <si>
    <t xml:space="preserve">Total volume for this purchase order or contract period</t>
  </si>
  <si>
    <t xml:space="preserve">Purchase Frequency</t>
  </si>
  <si>
    <t xml:space="preserve">Monthly</t>
  </si>
  <si>
    <t xml:space="preserve">Spot / Monthly / Quarterly / Annual</t>
  </si>
  <si>
    <t xml:space="preserve">Contract Duration (months)</t>
  </si>
  <si>
    <t xml:space="preserve">Number of months covered by this analysis</t>
  </si>
  <si>
    <t xml:space="preserve">  SECTION 2 — FX RATES  (update manually — verify with your bank or treasury)</t>
  </si>
  <si>
    <t xml:space="preserve">Currency Pair</t>
  </si>
  <si>
    <t xml:space="preserve">Rate (USD=1)</t>
  </si>
  <si>
    <t xml:space="preserve">30d High</t>
  </si>
  <si>
    <t xml:space="preserve">30d Low</t>
  </si>
  <si>
    <t xml:space="preserve">Rate Source / Date</t>
  </si>
  <si>
    <t xml:space="preserve">USD / EUR</t>
  </si>
  <si>
    <t xml:space="preserve">ECB / Update date:</t>
  </si>
  <si>
    <t xml:space="preserve">USD / GBP</t>
  </si>
  <si>
    <t xml:space="preserve">BOE / Update date:</t>
  </si>
  <si>
    <t xml:space="preserve">USD / JPY</t>
  </si>
  <si>
    <t xml:space="preserve">BOJ / Update date:</t>
  </si>
  <si>
    <t xml:space="preserve">USD / CNY</t>
  </si>
  <si>
    <t xml:space="preserve">PBOC / Update date:</t>
  </si>
  <si>
    <t xml:space="preserve">USD / MXN</t>
  </si>
  <si>
    <t xml:space="preserve">Banxico / Update date:</t>
  </si>
  <si>
    <t xml:space="preserve">USD / BRL</t>
  </si>
  <si>
    <t xml:space="preserve">BCB / Update date:</t>
  </si>
  <si>
    <t xml:space="preserve">USD / INR</t>
  </si>
  <si>
    <t xml:space="preserve">RBI / Update date:</t>
  </si>
  <si>
    <t xml:space="preserve">USD / CAD</t>
  </si>
  <si>
    <t xml:space="preserve">BOC / Update date:</t>
  </si>
  <si>
    <t xml:space="preserve">USD / AUD</t>
  </si>
  <si>
    <t xml:space="preserve">RBA / Update date:</t>
  </si>
  <si>
    <t xml:space="preserve">USD / PLN</t>
  </si>
  <si>
    <t xml:space="preserve">NBP / Update date:</t>
  </si>
  <si>
    <t xml:space="preserve">  SECTION 3 — YOUR FUNCTIONAL CURRENCY</t>
  </si>
  <si>
    <t xml:space="preserve">Select your functional currency pair (must match Section 2)</t>
  </si>
  <si>
    <t xml:space="preserve">Enter the pair exactly as listed above (e.g. USD / EUR)</t>
  </si>
  <si>
    <t xml:space="preserve">  SECTION 4 — HEDGE TOLERANCE PARAMETERS</t>
  </si>
  <si>
    <t xml:space="preserve">Max acceptable FX cost increase (%)</t>
  </si>
  <si>
    <t xml:space="preserve">Point at which you consider hedging — e.g. 5%</t>
  </si>
  <si>
    <t xml:space="preserve">Current hedge coverage (%)</t>
  </si>
  <si>
    <t xml:space="preserve">% of exposure already covered by forwards or options</t>
  </si>
  <si>
    <t xml:space="preserve">Cost of hedge (annual %)</t>
  </si>
  <si>
    <t xml:space="preserve">Forward point cost or option premium annualized</t>
  </si>
  <si>
    <t xml:space="preserve">rzzro.com  ·  Procurement, quantified.  ·  All inputs in blue. Do not edit black cells.</t>
  </si>
  <si>
    <t xml:space="preserve">| Rzzro  ·  FX EXPOSURE ANALYSIS</t>
  </si>
  <si>
    <t xml:space="preserve">  DERIVED INPUTS  (linked from INPUTS tab)</t>
  </si>
  <si>
    <t xml:space="preserve">Commodity</t>
  </si>
  <si>
    <t xml:space="preserve">Purchase Volume</t>
  </si>
  <si>
    <t xml:space="preserve">Selected Currency Pair</t>
  </si>
  <si>
    <t xml:space="preserve">Applied FX Rate</t>
  </si>
  <si>
    <t xml:space="preserve">30d High Rate</t>
  </si>
  <si>
    <t xml:space="preserve">30d Low Rate</t>
  </si>
  <si>
    <t xml:space="preserve">  CORE EXPOSURE CALCULATION</t>
  </si>
  <si>
    <t xml:space="preserve">Metric</t>
  </si>
  <si>
    <t xml:space="preserve">Value (USD)</t>
  </si>
  <si>
    <t xml:space="preserve">Value (Functional CCY)</t>
  </si>
  <si>
    <t xml:space="preserve">% of Total Cost</t>
  </si>
  <si>
    <t xml:space="preserve">Unit Price (USD)</t>
  </si>
  <si>
    <t xml:space="preserve">Total Exposure (1 order)</t>
  </si>
  <si>
    <t xml:space="preserve">Monthly Exposure</t>
  </si>
  <si>
    <t xml:space="preserve">Annual Exposure</t>
  </si>
  <si>
    <t xml:space="preserve">FX Component of Cost</t>
  </si>
  <si>
    <t xml:space="preserve">Non-FX (Commodity) Cost</t>
  </si>
  <si>
    <t xml:space="preserve">  RATE POSITION ANALYSIS  (current rate vs. 30d range)</t>
  </si>
  <si>
    <t xml:space="preserve">Scenario</t>
  </si>
  <si>
    <t xml:space="preserve">Rate</t>
  </si>
  <si>
    <t xml:space="preserve">Annual Cost (USD)</t>
  </si>
  <si>
    <t xml:space="preserve">Annual Cost (CCY)</t>
  </si>
  <si>
    <t xml:space="preserve">Delta vs. Current</t>
  </si>
  <si>
    <t xml:space="preserve">Current Rate</t>
  </si>
  <si>
    <t xml:space="preserve">rzzro.com  ·  Procurement, quantified.  ·  Formulas only — do not edit.</t>
  </si>
  <si>
    <t xml:space="preserve">| Rzzro  ·  SENSITIVITY MATRIX  (Annual Exposure in Functional Currency)</t>
  </si>
  <si>
    <t xml:space="preserve">Rows = commodity price change vs. base.  Columns = FX rate change vs. base.  Values = annual cost in your functional currency.  Red = adverse.  Green = favorable.</t>
  </si>
  <si>
    <t xml:space="preserve">Price Δ  \  FX Δ</t>
  </si>
  <si>
    <t xml:space="preserve">-15%  FX</t>
  </si>
  <si>
    <t xml:space="preserve">-10%  FX</t>
  </si>
  <si>
    <t xml:space="preserve">-5%  FX</t>
  </si>
  <si>
    <t xml:space="preserve">+0%  FX</t>
  </si>
  <si>
    <t xml:space="preserve">+5%  FX</t>
  </si>
  <si>
    <t xml:space="preserve">+10%  FX</t>
  </si>
  <si>
    <t xml:space="preserve">+15%  FX</t>
  </si>
  <si>
    <t xml:space="preserve">-20%  Price</t>
  </si>
  <si>
    <t xml:space="preserve">-10%  Price</t>
  </si>
  <si>
    <t xml:space="preserve">+0%  Price</t>
  </si>
  <si>
    <t xml:space="preserve">+10%  Price</t>
  </si>
  <si>
    <t xml:space="preserve">+20%  Price</t>
  </si>
  <si>
    <t xml:space="preserve">Baseline (0% / 0%) highlighted in purple.  Costs above baseline trend red.  Costs below baseline trend green.</t>
  </si>
  <si>
    <t xml:space="preserve">| Rzzro  ·  HEDGE TRIGGER CALCULATOR</t>
  </si>
  <si>
    <t xml:space="preserve">  DERIVED PARAMETERS</t>
  </si>
  <si>
    <t xml:space="preserve">Annual Exposure (USD)</t>
  </si>
  <si>
    <t xml:space="preserve">Current FX Rate</t>
  </si>
  <si>
    <t xml:space="preserve">Max Acceptable FX Increase (%)</t>
  </si>
  <si>
    <t xml:space="preserve">Current Hedge Coverage (%)</t>
  </si>
  <si>
    <t xml:space="preserve">Cost of Hedge (annual %)</t>
  </si>
  <si>
    <t xml:space="preserve">  HEDGE TRIGGER OUTPUTS</t>
  </si>
  <si>
    <t xml:space="preserve">Unhedged Exposure (USD)</t>
  </si>
  <si>
    <t xml:space="preserve">Annual exposure net of existing coverage</t>
  </si>
  <si>
    <t xml:space="preserve">Max tolerable FX cost increase (USD)</t>
  </si>
  <si>
    <t xml:space="preserve">Annual exposure × tolerance %</t>
  </si>
  <si>
    <t xml:space="preserve">Trigger Rate — Hedge if rate exceeds</t>
  </si>
  <si>
    <t xml:space="preserve">Rate at which FX loss exceeds your tolerance</t>
  </si>
  <si>
    <t xml:space="preserve">Rate buffer remaining</t>
  </si>
  <si>
    <t xml:space="preserve">How much the rate can move before trigger</t>
  </si>
  <si>
    <t xml:space="preserve">Buffer as % of current rate</t>
  </si>
  <si>
    <t xml:space="preserve">Annual cost of full hedge (USD)</t>
  </si>
  <si>
    <t xml:space="preserve">Cost of hedging unhedged exposure</t>
  </si>
  <si>
    <t xml:space="preserve">Net savings if hedge triggered (USD)</t>
  </si>
  <si>
    <t xml:space="preserve">Positive = hedge pays off beyond its cost</t>
  </si>
  <si>
    <t xml:space="preserve">DISCLAIMER: This model does not constitute financial or hedging advice. Consult your treasury team or bank before executing any hedging instruments.</t>
  </si>
  <si>
    <t xml:space="preserve">| Rzzro  ·  MULTI-CURRENCY SOURCING COMPARISON</t>
  </si>
  <si>
    <t xml:space="preserve">Compare cost of sourcing the same commodity from different markets. Add logistics cost per unit to reflect true landed cost.</t>
  </si>
  <si>
    <t xml:space="preserve">  MARKET COMPARISON TABLE</t>
  </si>
  <si>
    <t xml:space="preserve">Market / Region</t>
  </si>
  <si>
    <t xml:space="preserve">USD Price/Unit</t>
  </si>
  <si>
    <t xml:space="preserve">FX Rate</t>
  </si>
  <si>
    <t xml:space="preserve">Price in CCY</t>
  </si>
  <si>
    <t xml:space="preserve">Logistics (USD/unit)</t>
  </si>
  <si>
    <t xml:space="preserve">Total Landed (USD)</t>
  </si>
  <si>
    <t xml:space="preserve">Rank</t>
  </si>
  <si>
    <t xml:space="preserve">Europe (EUR)</t>
  </si>
  <si>
    <t xml:space="preserve">China (CNY)</t>
  </si>
  <si>
    <t xml:space="preserve">Turkey (TRY)</t>
  </si>
  <si>
    <t xml:space="preserve">USD / TRY</t>
  </si>
  <si>
    <t xml:space="preserve">USA (domestic)</t>
  </si>
  <si>
    <t xml:space="preserve">Brazil (BRL)</t>
  </si>
  <si>
    <t xml:space="preserve">India (INR)</t>
  </si>
  <si>
    <t xml:space="preserve">Rank 1 = lowest landed cost.  Logistics cost is per unit (USD) — adjust for actual freight, duties, and lead time risk.</t>
  </si>
  <si>
    <t xml:space="preserve">| Rzzro  ·  AUDIT LOG</t>
  </si>
  <si>
    <t xml:space="preserve">  ANALYSIS METADATA — Complete before sharing or filing</t>
  </si>
  <si>
    <t xml:space="preserve">Analyst Name</t>
  </si>
  <si>
    <t xml:space="preserve">Analysis Date</t>
  </si>
  <si>
    <t xml:space="preserve">Business Unit / Region</t>
  </si>
  <si>
    <t xml:space="preserve">Commodity Category</t>
  </si>
  <si>
    <t xml:space="preserve">ERP / PO Reference</t>
  </si>
  <si>
    <t xml:space="preserve">Reviewed By</t>
  </si>
  <si>
    <t xml:space="preserve">Approval Status</t>
  </si>
  <si>
    <t xml:space="preserve">Draft / Under Review / Approved</t>
  </si>
  <si>
    <t xml:space="preserve">  FX RATE LOG — Record each rate update with source and date</t>
  </si>
  <si>
    <t xml:space="preserve">Date Updated</t>
  </si>
  <si>
    <t xml:space="preserve">Rate Used</t>
  </si>
  <si>
    <t xml:space="preserve">Source</t>
  </si>
  <si>
    <t xml:space="preserve">Updated By</t>
  </si>
  <si>
    <t xml:space="preserve">Notes</t>
  </si>
  <si>
    <t xml:space="preserve">This log must be completed for any analysis shared with VP-level or above, treasury, or external auditors.</t>
  </si>
  <si>
    <t xml:space="preserve">rzzro.com  ·  Procurement, quantified.  ·  v1.0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</si>
</sst>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@"/>
    <numFmt numFmtId="166" formatCode="#,##0.00"/>
    <numFmt numFmtId="167" formatCode="#,##0"/>
    <numFmt numFmtId="168" formatCode="0"/>
    <numFmt numFmtId="169" formatCode="0.0000"/>
    <numFmt numFmtId="170" formatCode="0.0%"/>
    <numFmt numFmtId="171" formatCode="\$#,##0.00"/>
    <numFmt numFmtId="172" formatCode="\$#,##0"/>
    <numFmt numFmtId="173" formatCode="#,##0;\(#,##0\);\-"/>
    <numFmt numFmtId="174" formatCode="\$#,##0;&quot;($&quot;#,##0\);\-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11"/>
      <color rgb="FFC7D2FE"/>
      <name val="Arial"/>
      <family val="0"/>
      <charset val="1"/>
    </font>
    <font>
      <sz val="10"/>
      <color rgb="FFA5B4FC"/>
      <name val="Arial"/>
      <family val="0"/>
      <charset val="1"/>
    </font>
    <font>
      <b val="true"/>
      <sz val="9"/>
      <color rgb="FF4F46E5"/>
      <name val="Arial"/>
      <family val="0"/>
      <charset val="1"/>
    </font>
    <font>
      <sz val="10"/>
      <color rgb="FF111827"/>
      <name val="Arial"/>
      <family val="0"/>
      <charset val="1"/>
    </font>
    <font>
      <i val="true"/>
      <sz val="9"/>
      <color rgb="FF6B728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111827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DC2626"/>
      <name val="Arial"/>
      <family val="0"/>
      <charset val="1"/>
    </font>
    <font>
      <sz val="10"/>
      <color rgb="FF05966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4F46E5"/>
      <name val="Arial"/>
      <family val="0"/>
      <charset val="1"/>
    </font>
    <font>
      <i val="true"/>
      <sz val="9"/>
      <color rgb="FFDC2626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4F46E5"/>
        <bgColor rgb="FF333399"/>
      </patternFill>
    </fill>
    <fill>
      <patternFill patternType="solid">
        <fgColor rgb="FFF7F8FA"/>
        <bgColor rgb="FFFEF2F2"/>
      </patternFill>
    </fill>
    <fill>
      <patternFill patternType="solid">
        <fgColor rgb="FFEEF2FF"/>
        <bgColor rgb="FFF7F8FA"/>
      </patternFill>
    </fill>
    <fill>
      <patternFill patternType="solid">
        <fgColor rgb="FF111827"/>
        <bgColor rgb="FF000000"/>
      </patternFill>
    </fill>
    <fill>
      <patternFill patternType="solid">
        <fgColor rgb="FFFFFFFF"/>
        <bgColor rgb="FFF7F8FA"/>
      </patternFill>
    </fill>
    <fill>
      <patternFill patternType="solid">
        <fgColor rgb="FFFEF2F2"/>
        <bgColor rgb="FFF7F8FA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ck">
        <color rgb="FF4F46E5"/>
      </left>
      <right/>
      <top/>
      <bottom style="thin">
        <color rgb="FFE5E7EB"/>
      </bottom>
      <diagonal/>
    </border>
    <border diagonalUp="false" diagonalDown="false">
      <left style="thick">
        <color rgb="FF4F46E5"/>
      </left>
      <right/>
      <top style="thin">
        <color rgb="FFE5E7EB"/>
      </top>
      <bottom style="thin">
        <color rgb="FFE5E7EB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4F46E5"/>
      </bottom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/>
      <diagonal/>
    </border>
    <border diagonalUp="false" diagonalDown="false">
      <left style="thick">
        <color rgb="FFDC2626"/>
      </left>
      <right/>
      <top style="thin">
        <color rgb="FFE5E7EB"/>
      </top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5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2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0" fontId="12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4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4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4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9" fillId="3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3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6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15" fillId="6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5" fillId="6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5" fillId="6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9" fillId="3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9" fillId="6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6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9" fillId="6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4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5" fillId="4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15" fillId="4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4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6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7" fillId="6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17" fillId="6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7" fillId="6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17" fillId="6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8" fillId="3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18" fillId="3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8" fillId="3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18" fillId="3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0" fillId="4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4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4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20" fillId="4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9" fillId="6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9" fillId="3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7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12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9" fillId="3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3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0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6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0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4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0"/>
        <b val="1"/>
        <color rgb="FF065F46"/>
      </font>
      <fill>
        <patternFill>
          <bgColor rgb="FFD1FAE5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59669"/>
      <rgbColor rgb="FFC0C0C0"/>
      <rgbColor rgb="FF808080"/>
      <rgbColor rgb="FF9999FF"/>
      <rgbColor rgb="FF993366"/>
      <rgbColor rgb="FFFEF2F2"/>
      <rgbColor rgb="FFEEF2FF"/>
      <rgbColor rgb="FF660066"/>
      <rgbColor rgb="FFFF8080"/>
      <rgbColor rgb="FF0066CC"/>
      <rgbColor rgb="FFC7D2FE"/>
      <rgbColor rgb="FF000080"/>
      <rgbColor rgb="FFFF00FF"/>
      <rgbColor rgb="FFFFFF00"/>
      <rgbColor rgb="FF00FFFF"/>
      <rgbColor rgb="FF800080"/>
      <rgbColor rgb="FF800000"/>
      <rgbColor rgb="FF065F46"/>
      <rgbColor rgb="FF0000FF"/>
      <rgbColor rgb="FF00CCFF"/>
      <rgbColor rgb="FFE5E7EB"/>
      <rgbColor rgb="FFD1FAE5"/>
      <rgbColor rgb="FFF7F8FA"/>
      <rgbColor rgb="FFA5B4FC"/>
      <rgbColor rgb="FFFF99CC"/>
      <rgbColor rgb="FFCC99FF"/>
      <rgbColor rgb="FFFFCC99"/>
      <rgbColor rgb="FF4F46E5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111827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2"/>
    <col collapsed="false" customWidth="true" hidden="false" outlineLevel="0" max="3" min="3" style="1" width="30"/>
    <col collapsed="false" customWidth="true" hidden="false" outlineLevel="0" max="4" min="4" style="1" width="20"/>
  </cols>
  <sheetData>
    <row r="1" customFormat="false" ht="7.5" hidden="false" customHeight="true" outlineLevel="0" collapsed="false"/>
    <row r="2" customFormat="false" ht="18" hidden="false" customHeight="true" outlineLevel="0" collapsed="false">
      <c r="A2" s="2"/>
      <c r="B2" s="3" t="s">
        <v>0</v>
      </c>
      <c r="C2" s="3"/>
      <c r="D2" s="3"/>
      <c r="E2" s="3"/>
      <c r="F2" s="3"/>
      <c r="G2" s="2"/>
    </row>
    <row r="3" customFormat="false" ht="18" hidden="false" customHeight="true" outlineLevel="0" collapsed="false">
      <c r="A3" s="2"/>
      <c r="B3" s="3"/>
      <c r="C3" s="3"/>
      <c r="D3" s="3"/>
      <c r="E3" s="3"/>
      <c r="F3" s="3"/>
      <c r="G3" s="2"/>
    </row>
    <row r="4" customFormat="false" ht="18" hidden="false" customHeight="true" outlineLevel="0" collapsed="false">
      <c r="A4" s="2"/>
      <c r="B4" s="4" t="s">
        <v>1</v>
      </c>
      <c r="C4" s="4"/>
      <c r="D4" s="4"/>
      <c r="E4" s="4"/>
      <c r="F4" s="4"/>
      <c r="G4" s="2"/>
    </row>
    <row r="5" customFormat="false" ht="18" hidden="false" customHeight="true" outlineLevel="0" collapsed="false">
      <c r="A5" s="2"/>
      <c r="B5" s="5" t="s">
        <v>2</v>
      </c>
      <c r="C5" s="5"/>
      <c r="D5" s="5"/>
      <c r="E5" s="5"/>
      <c r="F5" s="5"/>
      <c r="G5" s="2"/>
    </row>
    <row r="6" customFormat="false" ht="18" hidden="false" customHeight="true" outlineLevel="0" collapsed="false">
      <c r="A6" s="2"/>
      <c r="B6" s="2"/>
      <c r="C6" s="2"/>
      <c r="D6" s="2"/>
      <c r="E6" s="2"/>
      <c r="F6" s="2"/>
      <c r="G6" s="2"/>
    </row>
    <row r="7" customFormat="false" ht="18" hidden="false" customHeight="true" outlineLevel="0" collapsed="false">
      <c r="A7" s="2"/>
      <c r="B7" s="6" t="s">
        <v>3</v>
      </c>
      <c r="C7" s="6"/>
      <c r="D7" s="6"/>
      <c r="E7" s="6"/>
      <c r="F7" s="6"/>
      <c r="G7" s="2"/>
    </row>
    <row r="8" customFormat="false" ht="18" hidden="false" customHeight="true" outlineLevel="0" collapsed="false">
      <c r="A8" s="2"/>
      <c r="B8" s="2"/>
      <c r="C8" s="2"/>
      <c r="D8" s="2"/>
      <c r="E8" s="2"/>
      <c r="F8" s="2"/>
      <c r="G8" s="2"/>
    </row>
    <row r="9" customFormat="false" ht="19.5" hidden="false" customHeight="true" outlineLevel="0" collapsed="false"/>
    <row r="10" customFormat="false" ht="15.75" hidden="false" customHeight="true" outlineLevel="0" collapsed="false">
      <c r="B10" s="7" t="s">
        <v>4</v>
      </c>
      <c r="C10" s="7"/>
      <c r="D10" s="7"/>
      <c r="E10" s="7"/>
      <c r="F10" s="7"/>
    </row>
    <row r="11" customFormat="false" ht="15.75" hidden="false" customHeight="true" outlineLevel="0" collapsed="false">
      <c r="B11" s="8" t="s">
        <v>5</v>
      </c>
    </row>
    <row r="12" customFormat="false" ht="15.75" hidden="false" customHeight="true" outlineLevel="0" collapsed="false">
      <c r="B12" s="8" t="s">
        <v>6</v>
      </c>
    </row>
    <row r="13" customFormat="false" ht="15.75" hidden="false" customHeight="true" outlineLevel="0" collapsed="false">
      <c r="B13" s="8"/>
    </row>
    <row r="14" customFormat="false" ht="15.75" hidden="false" customHeight="true" outlineLevel="0" collapsed="false">
      <c r="B14" s="7" t="s">
        <v>7</v>
      </c>
      <c r="C14" s="7"/>
      <c r="D14" s="7"/>
      <c r="E14" s="7"/>
      <c r="F14" s="7"/>
    </row>
    <row r="15" customFormat="false" ht="15.75" hidden="false" customHeight="true" outlineLevel="0" collapsed="false">
      <c r="B15" s="8" t="s">
        <v>8</v>
      </c>
    </row>
    <row r="16" customFormat="false" ht="15.75" hidden="false" customHeight="true" outlineLevel="0" collapsed="false">
      <c r="B16" s="8" t="s">
        <v>9</v>
      </c>
    </row>
    <row r="17" customFormat="false" ht="15.75" hidden="false" customHeight="true" outlineLevel="0" collapsed="false">
      <c r="B17" s="8" t="s">
        <v>10</v>
      </c>
    </row>
    <row r="18" customFormat="false" ht="15.75" hidden="false" customHeight="true" outlineLevel="0" collapsed="false">
      <c r="B18" s="8" t="s">
        <v>11</v>
      </c>
    </row>
    <row r="19" customFormat="false" ht="15.75" hidden="false" customHeight="true" outlineLevel="0" collapsed="false">
      <c r="B19" s="8" t="s">
        <v>12</v>
      </c>
    </row>
    <row r="20" customFormat="false" ht="15.75" hidden="false" customHeight="true" outlineLevel="0" collapsed="false">
      <c r="B20" s="8"/>
    </row>
    <row r="21" customFormat="false" ht="15.75" hidden="false" customHeight="true" outlineLevel="0" collapsed="false">
      <c r="B21" s="7" t="s">
        <v>13</v>
      </c>
      <c r="C21" s="7"/>
      <c r="D21" s="7"/>
      <c r="E21" s="7"/>
      <c r="F21" s="7"/>
    </row>
    <row r="22" customFormat="false" ht="15.75" hidden="false" customHeight="true" outlineLevel="0" collapsed="false">
      <c r="B22" s="8" t="s">
        <v>14</v>
      </c>
    </row>
    <row r="23" customFormat="false" ht="15.75" hidden="false" customHeight="true" outlineLevel="0" collapsed="false">
      <c r="B23" s="8" t="s">
        <v>15</v>
      </c>
    </row>
    <row r="24" customFormat="false" ht="15.75" hidden="false" customHeight="true" outlineLevel="0" collapsed="false">
      <c r="B24" s="8" t="s">
        <v>16</v>
      </c>
    </row>
    <row r="25" customFormat="false" ht="15.75" hidden="false" customHeight="true" outlineLevel="0" collapsed="false">
      <c r="B25" s="8"/>
    </row>
    <row r="26" customFormat="false" ht="15.75" hidden="false" customHeight="true" outlineLevel="0" collapsed="false">
      <c r="B26" s="7" t="s">
        <v>17</v>
      </c>
      <c r="C26" s="7"/>
      <c r="D26" s="7"/>
      <c r="E26" s="7"/>
      <c r="F26" s="7"/>
    </row>
    <row r="27" customFormat="false" ht="15.75" hidden="false" customHeight="true" outlineLevel="0" collapsed="false">
      <c r="B27" s="8" t="s">
        <v>18</v>
      </c>
    </row>
    <row r="28" customFormat="false" ht="15.75" hidden="false" customHeight="true" outlineLevel="0" collapsed="false">
      <c r="B28" s="8" t="s">
        <v>19</v>
      </c>
    </row>
    <row r="29" customFormat="false" ht="15.75" hidden="false" customHeight="true" outlineLevel="0" collapsed="false">
      <c r="B29" s="8" t="s">
        <v>20</v>
      </c>
    </row>
    <row r="32" customFormat="false" ht="15.75" hidden="false" customHeight="true" outlineLevel="0" collapsed="false">
      <c r="B32" s="9" t="s">
        <v>21</v>
      </c>
    </row>
  </sheetData>
  <mergeCells count="8">
    <mergeCell ref="B2:F3"/>
    <mergeCell ref="B4:F4"/>
    <mergeCell ref="B5:F5"/>
    <mergeCell ref="B7:F7"/>
    <mergeCell ref="B10:F10"/>
    <mergeCell ref="B14:F14"/>
    <mergeCell ref="B21:F21"/>
    <mergeCell ref="B26:F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2"/>
    <col collapsed="false" customWidth="true" hidden="false" outlineLevel="0" max="3" min="3" style="1" width="20"/>
    <col collapsed="false" customWidth="true" hidden="false" outlineLevel="0" max="8" min="4" style="1" width="18"/>
  </cols>
  <sheetData>
    <row r="1" customFormat="false" ht="7.5" hidden="false" customHeight="true" outlineLevel="0" collapsed="false"/>
    <row r="2" customFormat="false" ht="30" hidden="false" customHeight="true" outlineLevel="0" collapsed="false">
      <c r="B2" s="10" t="s">
        <v>22</v>
      </c>
      <c r="C2" s="10"/>
      <c r="D2" s="10"/>
      <c r="E2" s="10"/>
      <c r="F2" s="10"/>
      <c r="G2" s="10"/>
      <c r="H2" s="10"/>
    </row>
    <row r="3" customFormat="false" ht="7.5" hidden="false" customHeight="true" outlineLevel="0" collapsed="false"/>
    <row r="4" customFormat="false" ht="21.75" hidden="false" customHeight="true" outlineLevel="0" collapsed="false">
      <c r="B4" s="11" t="s">
        <v>23</v>
      </c>
      <c r="C4" s="11"/>
      <c r="D4" s="11"/>
      <c r="E4" s="11"/>
      <c r="F4" s="11"/>
      <c r="G4" s="11"/>
      <c r="H4" s="11"/>
    </row>
    <row r="5" customFormat="false" ht="19.5" hidden="false" customHeight="true" outlineLevel="0" collapsed="false">
      <c r="B5" s="12" t="s">
        <v>24</v>
      </c>
      <c r="C5" s="13" t="s">
        <v>25</v>
      </c>
      <c r="D5" s="14" t="s">
        <v>26</v>
      </c>
      <c r="E5" s="14"/>
      <c r="F5" s="14"/>
      <c r="G5" s="14"/>
      <c r="H5" s="14"/>
    </row>
    <row r="6" customFormat="false" ht="19.5" hidden="false" customHeight="true" outlineLevel="0" collapsed="false">
      <c r="B6" s="12" t="s">
        <v>27</v>
      </c>
      <c r="C6" s="15" t="n">
        <v>14200</v>
      </c>
      <c r="D6" s="14" t="s">
        <v>28</v>
      </c>
      <c r="E6" s="14"/>
      <c r="F6" s="14"/>
      <c r="G6" s="14"/>
      <c r="H6" s="14"/>
    </row>
    <row r="7" customFormat="false" ht="19.5" hidden="false" customHeight="true" outlineLevel="0" collapsed="false">
      <c r="B7" s="12" t="s">
        <v>29</v>
      </c>
      <c r="C7" s="13" t="s">
        <v>30</v>
      </c>
      <c r="D7" s="14" t="s">
        <v>31</v>
      </c>
      <c r="E7" s="14"/>
      <c r="F7" s="14"/>
      <c r="G7" s="14"/>
      <c r="H7" s="14"/>
    </row>
    <row r="8" customFormat="false" ht="19.5" hidden="false" customHeight="true" outlineLevel="0" collapsed="false">
      <c r="B8" s="12" t="s">
        <v>32</v>
      </c>
      <c r="C8" s="16" t="n">
        <v>500</v>
      </c>
      <c r="D8" s="14" t="s">
        <v>33</v>
      </c>
      <c r="E8" s="14"/>
      <c r="F8" s="14"/>
      <c r="G8" s="14"/>
      <c r="H8" s="14"/>
    </row>
    <row r="9" customFormat="false" ht="19.5" hidden="false" customHeight="true" outlineLevel="0" collapsed="false">
      <c r="B9" s="12" t="s">
        <v>34</v>
      </c>
      <c r="C9" s="13" t="s">
        <v>35</v>
      </c>
      <c r="D9" s="14" t="s">
        <v>36</v>
      </c>
      <c r="E9" s="14"/>
      <c r="F9" s="14"/>
      <c r="G9" s="14"/>
      <c r="H9" s="14"/>
    </row>
    <row r="10" customFormat="false" ht="19.5" hidden="false" customHeight="true" outlineLevel="0" collapsed="false">
      <c r="B10" s="12" t="s">
        <v>37</v>
      </c>
      <c r="C10" s="17" t="n">
        <v>12</v>
      </c>
      <c r="D10" s="14" t="s">
        <v>38</v>
      </c>
      <c r="E10" s="14"/>
      <c r="F10" s="14"/>
      <c r="G10" s="14"/>
      <c r="H10" s="14"/>
    </row>
    <row r="11" customFormat="false" ht="12" hidden="false" customHeight="true" outlineLevel="0" collapsed="false"/>
    <row r="12" customFormat="false" ht="21.75" hidden="false" customHeight="true" outlineLevel="0" collapsed="false">
      <c r="B12" s="11" t="s">
        <v>39</v>
      </c>
      <c r="C12" s="11"/>
      <c r="D12" s="11"/>
      <c r="E12" s="11"/>
      <c r="F12" s="11"/>
      <c r="G12" s="11"/>
      <c r="H12" s="11"/>
    </row>
    <row r="13" customFormat="false" ht="18" hidden="false" customHeight="true" outlineLevel="0" collapsed="false">
      <c r="B13" s="18" t="s">
        <v>40</v>
      </c>
      <c r="C13" s="19" t="s">
        <v>41</v>
      </c>
      <c r="D13" s="19" t="s">
        <v>42</v>
      </c>
      <c r="E13" s="19" t="s">
        <v>43</v>
      </c>
      <c r="F13" s="18" t="s">
        <v>44</v>
      </c>
    </row>
    <row r="14" customFormat="false" ht="18.75" hidden="false" customHeight="true" outlineLevel="0" collapsed="false">
      <c r="B14" s="20" t="s">
        <v>45</v>
      </c>
      <c r="C14" s="21" t="n">
        <v>0.92</v>
      </c>
      <c r="D14" s="21" t="n">
        <v>0.945</v>
      </c>
      <c r="E14" s="21" t="n">
        <v>0.898</v>
      </c>
      <c r="F14" s="22" t="s">
        <v>46</v>
      </c>
    </row>
    <row r="15" customFormat="false" ht="18.75" hidden="false" customHeight="true" outlineLevel="0" collapsed="false">
      <c r="B15" s="20" t="s">
        <v>47</v>
      </c>
      <c r="C15" s="21" t="n">
        <v>0.79</v>
      </c>
      <c r="D15" s="21" t="n">
        <v>0.812</v>
      </c>
      <c r="E15" s="21" t="n">
        <v>0.775</v>
      </c>
      <c r="F15" s="22" t="s">
        <v>48</v>
      </c>
    </row>
    <row r="16" customFormat="false" ht="18.75" hidden="false" customHeight="true" outlineLevel="0" collapsed="false">
      <c r="B16" s="20" t="s">
        <v>49</v>
      </c>
      <c r="C16" s="21" t="n">
        <v>149.5</v>
      </c>
      <c r="D16" s="21" t="n">
        <v>155</v>
      </c>
      <c r="E16" s="21" t="n">
        <v>142</v>
      </c>
      <c r="F16" s="22" t="s">
        <v>50</v>
      </c>
    </row>
    <row r="17" customFormat="false" ht="18.75" hidden="false" customHeight="true" outlineLevel="0" collapsed="false">
      <c r="B17" s="20" t="s">
        <v>51</v>
      </c>
      <c r="C17" s="21" t="n">
        <v>7.24</v>
      </c>
      <c r="D17" s="21" t="n">
        <v>7.31</v>
      </c>
      <c r="E17" s="21" t="n">
        <v>7.18</v>
      </c>
      <c r="F17" s="22" t="s">
        <v>52</v>
      </c>
    </row>
    <row r="18" customFormat="false" ht="18.75" hidden="false" customHeight="true" outlineLevel="0" collapsed="false">
      <c r="B18" s="20" t="s">
        <v>53</v>
      </c>
      <c r="C18" s="21" t="n">
        <v>17.2</v>
      </c>
      <c r="D18" s="21" t="n">
        <v>18.1</v>
      </c>
      <c r="E18" s="21" t="n">
        <v>16.8</v>
      </c>
      <c r="F18" s="22" t="s">
        <v>54</v>
      </c>
    </row>
    <row r="19" customFormat="false" ht="18.75" hidden="false" customHeight="true" outlineLevel="0" collapsed="false">
      <c r="B19" s="20" t="s">
        <v>55</v>
      </c>
      <c r="C19" s="21" t="n">
        <v>5.08</v>
      </c>
      <c r="D19" s="21" t="n">
        <v>5.32</v>
      </c>
      <c r="E19" s="21" t="n">
        <v>4.95</v>
      </c>
      <c r="F19" s="22" t="s">
        <v>56</v>
      </c>
    </row>
    <row r="20" customFormat="false" ht="18.75" hidden="false" customHeight="true" outlineLevel="0" collapsed="false">
      <c r="B20" s="20" t="s">
        <v>57</v>
      </c>
      <c r="C20" s="21" t="n">
        <v>83.5</v>
      </c>
      <c r="D20" s="21" t="n">
        <v>84.2</v>
      </c>
      <c r="E20" s="21" t="n">
        <v>82.1</v>
      </c>
      <c r="F20" s="22" t="s">
        <v>58</v>
      </c>
    </row>
    <row r="21" customFormat="false" ht="18.75" hidden="false" customHeight="true" outlineLevel="0" collapsed="false">
      <c r="B21" s="20" t="s">
        <v>59</v>
      </c>
      <c r="C21" s="21" t="n">
        <v>1.36</v>
      </c>
      <c r="D21" s="21" t="n">
        <v>1.39</v>
      </c>
      <c r="E21" s="21" t="n">
        <v>1.33</v>
      </c>
      <c r="F21" s="22" t="s">
        <v>60</v>
      </c>
    </row>
    <row r="22" customFormat="false" ht="18.75" hidden="false" customHeight="true" outlineLevel="0" collapsed="false">
      <c r="B22" s="20" t="s">
        <v>61</v>
      </c>
      <c r="C22" s="21" t="n">
        <v>1.53</v>
      </c>
      <c r="D22" s="21" t="n">
        <v>1.57</v>
      </c>
      <c r="E22" s="21" t="n">
        <v>1.49</v>
      </c>
      <c r="F22" s="22" t="s">
        <v>62</v>
      </c>
    </row>
    <row r="23" customFormat="false" ht="18.75" hidden="false" customHeight="true" outlineLevel="0" collapsed="false">
      <c r="B23" s="20" t="s">
        <v>63</v>
      </c>
      <c r="C23" s="21" t="n">
        <v>4.02</v>
      </c>
      <c r="D23" s="21" t="n">
        <v>4.15</v>
      </c>
      <c r="E23" s="21" t="n">
        <v>3.89</v>
      </c>
      <c r="F23" s="22" t="s">
        <v>64</v>
      </c>
    </row>
    <row r="24" customFormat="false" ht="12" hidden="false" customHeight="true" outlineLevel="0" collapsed="false"/>
    <row r="25" customFormat="false" ht="21.75" hidden="false" customHeight="true" outlineLevel="0" collapsed="false">
      <c r="B25" s="11" t="s">
        <v>65</v>
      </c>
      <c r="C25" s="11"/>
      <c r="D25" s="11"/>
      <c r="E25" s="11"/>
      <c r="F25" s="11"/>
      <c r="G25" s="11"/>
      <c r="H25" s="11"/>
    </row>
    <row r="26" customFormat="false" ht="19.5" hidden="false" customHeight="true" outlineLevel="0" collapsed="false">
      <c r="B26" s="23" t="s">
        <v>66</v>
      </c>
      <c r="C26" s="22" t="s">
        <v>53</v>
      </c>
      <c r="D26" s="14" t="s">
        <v>67</v>
      </c>
      <c r="E26" s="14"/>
      <c r="F26" s="14"/>
      <c r="G26" s="14"/>
      <c r="H26" s="14"/>
    </row>
    <row r="27" customFormat="false" ht="12" hidden="false" customHeight="true" outlineLevel="0" collapsed="false"/>
    <row r="28" customFormat="false" ht="21.75" hidden="false" customHeight="true" outlineLevel="0" collapsed="false">
      <c r="B28" s="11" t="s">
        <v>68</v>
      </c>
      <c r="C28" s="11"/>
      <c r="D28" s="11"/>
      <c r="E28" s="11"/>
      <c r="F28" s="11"/>
      <c r="G28" s="11"/>
      <c r="H28" s="11"/>
    </row>
    <row r="29" customFormat="false" ht="19.5" hidden="false" customHeight="true" outlineLevel="0" collapsed="false">
      <c r="B29" s="12" t="s">
        <v>69</v>
      </c>
      <c r="C29" s="24" t="n">
        <v>0.05</v>
      </c>
      <c r="D29" s="14" t="s">
        <v>70</v>
      </c>
      <c r="E29" s="14"/>
      <c r="F29" s="14"/>
      <c r="G29" s="14"/>
      <c r="H29" s="14"/>
    </row>
    <row r="30" customFormat="false" ht="19.5" hidden="false" customHeight="true" outlineLevel="0" collapsed="false">
      <c r="B30" s="12" t="s">
        <v>71</v>
      </c>
      <c r="C30" s="24" t="n">
        <v>0</v>
      </c>
      <c r="D30" s="14" t="s">
        <v>72</v>
      </c>
      <c r="E30" s="14"/>
      <c r="F30" s="14"/>
      <c r="G30" s="14"/>
      <c r="H30" s="14"/>
    </row>
    <row r="31" customFormat="false" ht="19.5" hidden="false" customHeight="true" outlineLevel="0" collapsed="false">
      <c r="B31" s="12" t="s">
        <v>73</v>
      </c>
      <c r="C31" s="24" t="n">
        <v>0.015</v>
      </c>
      <c r="D31" s="14" t="s">
        <v>74</v>
      </c>
      <c r="E31" s="14"/>
      <c r="F31" s="14"/>
      <c r="G31" s="14"/>
      <c r="H31" s="14"/>
    </row>
    <row r="35" customFormat="false" ht="15.75" hidden="false" customHeight="true" outlineLevel="0" collapsed="false">
      <c r="B35" s="9" t="s">
        <v>75</v>
      </c>
    </row>
  </sheetData>
  <mergeCells count="15">
    <mergeCell ref="B2:H2"/>
    <mergeCell ref="B4:H4"/>
    <mergeCell ref="D5:H5"/>
    <mergeCell ref="D6:H6"/>
    <mergeCell ref="D7:H7"/>
    <mergeCell ref="D8:H8"/>
    <mergeCell ref="D9:H9"/>
    <mergeCell ref="D10:H10"/>
    <mergeCell ref="B12:H12"/>
    <mergeCell ref="B25:H25"/>
    <mergeCell ref="D26:H26"/>
    <mergeCell ref="B28:H28"/>
    <mergeCell ref="D29:H29"/>
    <mergeCell ref="D30:H30"/>
    <mergeCell ref="D31:H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6"/>
    <col collapsed="false" customWidth="true" hidden="false" outlineLevel="0" max="6" min="3" style="1" width="22"/>
  </cols>
  <sheetData>
    <row r="1" customFormat="false" ht="7.5" hidden="false" customHeight="true" outlineLevel="0" collapsed="false"/>
    <row r="2" customFormat="false" ht="30" hidden="false" customHeight="true" outlineLevel="0" collapsed="false">
      <c r="B2" s="10" t="s">
        <v>76</v>
      </c>
      <c r="C2" s="10"/>
      <c r="D2" s="10"/>
      <c r="E2" s="10"/>
      <c r="F2" s="10"/>
    </row>
    <row r="3" customFormat="false" ht="7.5" hidden="false" customHeight="true" outlineLevel="0" collapsed="false"/>
    <row r="4" customFormat="false" ht="21.75" hidden="false" customHeight="true" outlineLevel="0" collapsed="false">
      <c r="B4" s="11" t="s">
        <v>77</v>
      </c>
      <c r="C4" s="11"/>
      <c r="D4" s="11"/>
      <c r="E4" s="11"/>
      <c r="F4" s="11"/>
    </row>
    <row r="5" customFormat="false" ht="18.75" hidden="false" customHeight="true" outlineLevel="0" collapsed="false">
      <c r="B5" s="12" t="s">
        <v>78</v>
      </c>
      <c r="C5" s="25" t="str">
        <f aca="false">INPUTS!C5</f>
        <v>Steel HRC Coil</v>
      </c>
    </row>
    <row r="6" customFormat="false" ht="18.75" hidden="false" customHeight="true" outlineLevel="0" collapsed="false">
      <c r="B6" s="12" t="s">
        <v>27</v>
      </c>
      <c r="C6" s="26" t="n">
        <f aca="false">INPUTS!C6</f>
        <v>14200</v>
      </c>
    </row>
    <row r="7" customFormat="false" ht="18.75" hidden="false" customHeight="true" outlineLevel="0" collapsed="false">
      <c r="B7" s="12" t="s">
        <v>29</v>
      </c>
      <c r="C7" s="25" t="str">
        <f aca="false">INPUTS!C7</f>
        <v>MT</v>
      </c>
    </row>
    <row r="8" customFormat="false" ht="18.75" hidden="false" customHeight="true" outlineLevel="0" collapsed="false">
      <c r="B8" s="12" t="s">
        <v>79</v>
      </c>
      <c r="C8" s="27" t="n">
        <f aca="false">INPUTS!C8</f>
        <v>500</v>
      </c>
    </row>
    <row r="9" customFormat="false" ht="18.75" hidden="false" customHeight="true" outlineLevel="0" collapsed="false">
      <c r="B9" s="12" t="s">
        <v>80</v>
      </c>
      <c r="C9" s="25" t="str">
        <f aca="false">INPUTS!C26</f>
        <v>USD / MXN</v>
      </c>
    </row>
    <row r="10" customFormat="false" ht="18.75" hidden="false" customHeight="true" outlineLevel="0" collapsed="false">
      <c r="B10" s="12" t="s">
        <v>81</v>
      </c>
      <c r="C10" s="28" t="n">
        <f aca="false">IFERROR(INDEX(INPUTS!C14:C23,MATCH(INPUTS!C26,INPUTS!B14:B23,0)),1)</f>
        <v>17.2</v>
      </c>
    </row>
    <row r="11" customFormat="false" ht="18.75" hidden="false" customHeight="true" outlineLevel="0" collapsed="false">
      <c r="B11" s="12" t="s">
        <v>82</v>
      </c>
      <c r="C11" s="28" t="n">
        <f aca="false">IFERROR(INDEX(INPUTS!D14:D23,MATCH(INPUTS!C26,INPUTS!B14:B23,0)),1)</f>
        <v>18.1</v>
      </c>
    </row>
    <row r="12" customFormat="false" ht="18.75" hidden="false" customHeight="true" outlineLevel="0" collapsed="false">
      <c r="B12" s="12" t="s">
        <v>83</v>
      </c>
      <c r="C12" s="28" t="n">
        <f aca="false">IFERROR(INDEX(INPUTS!E14:E23,MATCH(INPUTS!C26,INPUTS!B14:B23,0)),1)</f>
        <v>16.8</v>
      </c>
    </row>
    <row r="13" customFormat="false" ht="12" hidden="false" customHeight="true" outlineLevel="0" collapsed="false"/>
    <row r="14" customFormat="false" ht="21.75" hidden="false" customHeight="true" outlineLevel="0" collapsed="false">
      <c r="B14" s="11" t="s">
        <v>84</v>
      </c>
      <c r="C14" s="11"/>
      <c r="D14" s="11"/>
      <c r="E14" s="11"/>
      <c r="F14" s="11"/>
    </row>
    <row r="15" customFormat="false" ht="18" hidden="false" customHeight="true" outlineLevel="0" collapsed="false">
      <c r="B15" s="18" t="s">
        <v>85</v>
      </c>
      <c r="C15" s="19" t="s">
        <v>86</v>
      </c>
      <c r="D15" s="19" t="s">
        <v>87</v>
      </c>
      <c r="E15" s="19" t="s">
        <v>88</v>
      </c>
    </row>
    <row r="16" customFormat="false" ht="19.5" hidden="false" customHeight="true" outlineLevel="0" collapsed="false">
      <c r="B16" s="29" t="s">
        <v>89</v>
      </c>
      <c r="C16" s="30" t="n">
        <f aca="false">C6</f>
        <v>14200</v>
      </c>
      <c r="D16" s="31" t="n">
        <f aca="false">C16*C10</f>
        <v>244240</v>
      </c>
    </row>
    <row r="17" customFormat="false" ht="19.5" hidden="false" customHeight="true" outlineLevel="0" collapsed="false">
      <c r="B17" s="32" t="s">
        <v>90</v>
      </c>
      <c r="C17" s="33" t="n">
        <f aca="false">C6*C8</f>
        <v>7100000</v>
      </c>
      <c r="D17" s="34" t="n">
        <f aca="false">C17*C10</f>
        <v>122120000</v>
      </c>
      <c r="E17" s="35" t="n">
        <f aca="false">1</f>
        <v>1</v>
      </c>
    </row>
    <row r="18" customFormat="false" ht="19.5" hidden="false" customHeight="true" outlineLevel="0" collapsed="false">
      <c r="B18" s="29" t="s">
        <v>91</v>
      </c>
      <c r="C18" s="30" t="n">
        <f aca="false">IF(C9="Monthly",C6*C8,IF(C9="Quarterly",C6*C8/3,IF(C9="Annual",C6*C8/12,C6*C8)))</f>
        <v>7100000</v>
      </c>
      <c r="D18" s="31" t="n">
        <f aca="false">C18*C10</f>
        <v>122120000</v>
      </c>
    </row>
    <row r="19" customFormat="false" ht="19.5" hidden="false" customHeight="true" outlineLevel="0" collapsed="false">
      <c r="B19" s="32" t="s">
        <v>92</v>
      </c>
      <c r="C19" s="33" t="n">
        <f aca="false">C6*C8*INPUTS!C10</f>
        <v>85200000</v>
      </c>
      <c r="D19" s="34" t="n">
        <f aca="false">C19*C10</f>
        <v>1465440000</v>
      </c>
    </row>
    <row r="20" customFormat="false" ht="19.5" hidden="false" customHeight="true" outlineLevel="0" collapsed="false">
      <c r="B20" s="29" t="s">
        <v>93</v>
      </c>
      <c r="C20" s="30" t="n">
        <f aca="false">C19-(C19/C10)</f>
        <v>80246511.627907</v>
      </c>
      <c r="D20" s="31" t="n">
        <f aca="false">C20*C10</f>
        <v>1380240000</v>
      </c>
      <c r="E20" s="36" t="n">
        <f aca="false">C20/C19</f>
        <v>0.941860465116279</v>
      </c>
    </row>
    <row r="21" customFormat="false" ht="19.5" hidden="false" customHeight="true" outlineLevel="0" collapsed="false">
      <c r="B21" s="37" t="s">
        <v>94</v>
      </c>
      <c r="C21" s="38" t="n">
        <f aca="false">C19-C20</f>
        <v>4953488.37209302</v>
      </c>
      <c r="D21" s="39" t="n">
        <f aca="false">C21*C10</f>
        <v>85200000</v>
      </c>
      <c r="E21" s="40" t="n">
        <f aca="false">C21/C19</f>
        <v>0.0581395348837209</v>
      </c>
    </row>
    <row r="22" customFormat="false" ht="12" hidden="false" customHeight="true" outlineLevel="0" collapsed="false"/>
    <row r="23" customFormat="false" ht="21.75" hidden="false" customHeight="true" outlineLevel="0" collapsed="false">
      <c r="B23" s="11" t="s">
        <v>95</v>
      </c>
      <c r="C23" s="11"/>
      <c r="D23" s="11"/>
      <c r="E23" s="11"/>
      <c r="F23" s="11"/>
    </row>
    <row r="24" customFormat="false" ht="18" hidden="false" customHeight="true" outlineLevel="0" collapsed="false">
      <c r="B24" s="18" t="s">
        <v>96</v>
      </c>
      <c r="C24" s="19" t="s">
        <v>97</v>
      </c>
      <c r="D24" s="19" t="s">
        <v>98</v>
      </c>
      <c r="E24" s="19" t="s">
        <v>99</v>
      </c>
      <c r="F24" s="19" t="s">
        <v>100</v>
      </c>
    </row>
    <row r="25" customFormat="false" ht="19.5" hidden="false" customHeight="true" outlineLevel="0" collapsed="false">
      <c r="B25" s="41" t="s">
        <v>101</v>
      </c>
      <c r="C25" s="42" t="n">
        <f aca="false">C10</f>
        <v>17.2</v>
      </c>
      <c r="D25" s="43" t="n">
        <f aca="false">C19</f>
        <v>85200000</v>
      </c>
      <c r="E25" s="44" t="n">
        <f aca="false">D25*C10</f>
        <v>1465440000</v>
      </c>
      <c r="F25" s="45" t="n">
        <v>0</v>
      </c>
    </row>
    <row r="26" customFormat="false" ht="19.5" hidden="false" customHeight="true" outlineLevel="0" collapsed="false">
      <c r="B26" s="37" t="s">
        <v>42</v>
      </c>
      <c r="C26" s="46" t="n">
        <f aca="false">C11</f>
        <v>18.1</v>
      </c>
      <c r="D26" s="47" t="n">
        <f aca="false">C6*C8*INPUTS!C10</f>
        <v>85200000</v>
      </c>
      <c r="E26" s="48" t="n">
        <f aca="false">C26*C11</f>
        <v>327.61</v>
      </c>
      <c r="F26" s="49" t="n">
        <f aca="false">D26-D25</f>
        <v>0</v>
      </c>
    </row>
    <row r="27" customFormat="false" ht="19.5" hidden="false" customHeight="true" outlineLevel="0" collapsed="false">
      <c r="B27" s="29" t="s">
        <v>43</v>
      </c>
      <c r="C27" s="50" t="n">
        <f aca="false">C12</f>
        <v>16.8</v>
      </c>
      <c r="D27" s="51" t="n">
        <f aca="false">C6*C8*INPUTS!C10</f>
        <v>85200000</v>
      </c>
      <c r="E27" s="52" t="n">
        <f aca="false">C27*C12</f>
        <v>282.24</v>
      </c>
      <c r="F27" s="53" t="n">
        <f aca="false">D27-D25</f>
        <v>0</v>
      </c>
    </row>
    <row r="32" customFormat="false" ht="15.75" hidden="false" customHeight="true" outlineLevel="0" collapsed="false">
      <c r="B32" s="9" t="s">
        <v>102</v>
      </c>
    </row>
  </sheetData>
  <mergeCells count="4">
    <mergeCell ref="B2:F2"/>
    <mergeCell ref="B4:F4"/>
    <mergeCell ref="B14:F14"/>
    <mergeCell ref="B23:F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10" min="3" style="1" width="16"/>
  </cols>
  <sheetData>
    <row r="1" customFormat="false" ht="7.5" hidden="false" customHeight="true" outlineLevel="0" collapsed="false"/>
    <row r="2" customFormat="false" ht="30" hidden="false" customHeight="true" outlineLevel="0" collapsed="false">
      <c r="B2" s="10" t="s">
        <v>103</v>
      </c>
      <c r="C2" s="10"/>
      <c r="D2" s="10"/>
      <c r="E2" s="10"/>
      <c r="F2" s="10"/>
      <c r="G2" s="10"/>
      <c r="H2" s="10"/>
      <c r="I2" s="10"/>
      <c r="J2" s="10"/>
    </row>
    <row r="3" customFormat="false" ht="9.75" hidden="false" customHeight="true" outlineLevel="0" collapsed="false"/>
    <row r="4" customFormat="false" ht="18" hidden="false" customHeight="true" outlineLevel="0" collapsed="false">
      <c r="B4" s="14" t="s">
        <v>104</v>
      </c>
      <c r="C4" s="14"/>
      <c r="D4" s="14"/>
      <c r="E4" s="14"/>
      <c r="F4" s="14"/>
      <c r="G4" s="14"/>
      <c r="H4" s="14"/>
      <c r="I4" s="14"/>
      <c r="J4" s="14"/>
    </row>
    <row r="5" customFormat="false" ht="7.5" hidden="false" customHeight="true" outlineLevel="0" collapsed="false"/>
    <row r="6" customFormat="false" ht="19.5" hidden="false" customHeight="true" outlineLevel="0" collapsed="false">
      <c r="B6" s="54" t="s">
        <v>105</v>
      </c>
      <c r="C6" s="55" t="s">
        <v>106</v>
      </c>
      <c r="D6" s="55" t="s">
        <v>107</v>
      </c>
      <c r="E6" s="55" t="s">
        <v>108</v>
      </c>
      <c r="F6" s="55" t="s">
        <v>109</v>
      </c>
      <c r="G6" s="55" t="s">
        <v>110</v>
      </c>
      <c r="H6" s="55" t="s">
        <v>111</v>
      </c>
      <c r="I6" s="55" t="s">
        <v>112</v>
      </c>
    </row>
    <row r="7" customFormat="false" ht="15.75" hidden="false" customHeight="true" outlineLevel="0" collapsed="false">
      <c r="B7" s="54"/>
      <c r="C7" s="56"/>
      <c r="D7" s="56"/>
      <c r="E7" s="56"/>
      <c r="F7" s="56"/>
      <c r="G7" s="56"/>
      <c r="H7" s="56"/>
      <c r="I7" s="56"/>
      <c r="J7" s="56"/>
    </row>
    <row r="8" customFormat="false" ht="21.75" hidden="false" customHeight="true" outlineLevel="0" collapsed="false">
      <c r="B8" s="57" t="s">
        <v>113</v>
      </c>
      <c r="C8" s="58" t="n">
        <f aca="false">EXPOSURE!C19*(1+(-0.2))*EXPOSURE!C10*(1+(-0.15))</f>
        <v>996499200</v>
      </c>
      <c r="D8" s="58" t="n">
        <f aca="false">EXPOSURE!C19*(1+(-0.2))*EXPOSURE!C10*(1+(-0.1))</f>
        <v>1055116800</v>
      </c>
      <c r="E8" s="58" t="n">
        <f aca="false">EXPOSURE!C19*(1+(-0.2))*EXPOSURE!C10*(1+(-0.05))</f>
        <v>1113734400</v>
      </c>
      <c r="F8" s="58" t="n">
        <f aca="false">EXPOSURE!C19*(1+(-0.2))*EXPOSURE!C10*(1+(0))</f>
        <v>1172352000</v>
      </c>
      <c r="G8" s="58" t="n">
        <f aca="false">EXPOSURE!C19*(1+(-0.2))*EXPOSURE!C10*(1+(0.05))</f>
        <v>1230969600</v>
      </c>
      <c r="H8" s="58" t="n">
        <f aca="false">EXPOSURE!C19*(1+(-0.2))*EXPOSURE!C10*(1+(0.1))</f>
        <v>1289587200</v>
      </c>
      <c r="I8" s="58" t="n">
        <f aca="false">EXPOSURE!C19*(1+(-0.2))*EXPOSURE!C10*(1+(0.15))</f>
        <v>1348204800</v>
      </c>
    </row>
    <row r="9" customFormat="false" ht="21.75" hidden="false" customHeight="true" outlineLevel="0" collapsed="false">
      <c r="B9" s="57" t="s">
        <v>114</v>
      </c>
      <c r="C9" s="58" t="n">
        <f aca="false">EXPOSURE!C19*(1+(-0.1))*EXPOSURE!C10*(1+(-0.15))</f>
        <v>1121061600</v>
      </c>
      <c r="D9" s="58" t="n">
        <f aca="false">EXPOSURE!C19*(1+(-0.1))*EXPOSURE!C10*(1+(-0.1))</f>
        <v>1187006400</v>
      </c>
      <c r="E9" s="58" t="n">
        <f aca="false">EXPOSURE!C19*(1+(-0.1))*EXPOSURE!C10*(1+(-0.05))</f>
        <v>1252951200</v>
      </c>
      <c r="F9" s="58" t="n">
        <f aca="false">EXPOSURE!C19*(1+(-0.1))*EXPOSURE!C10*(1+(0))</f>
        <v>1318896000</v>
      </c>
      <c r="G9" s="58" t="n">
        <f aca="false">EXPOSURE!C19*(1+(-0.1))*EXPOSURE!C10*(1+(0.05))</f>
        <v>1384840800</v>
      </c>
      <c r="H9" s="58" t="n">
        <f aca="false">EXPOSURE!C19*(1+(-0.1))*EXPOSURE!C10*(1+(0.1))</f>
        <v>1450785600</v>
      </c>
      <c r="I9" s="58" t="n">
        <f aca="false">EXPOSURE!C19*(1+(-0.1))*EXPOSURE!C10*(1+(0.15))</f>
        <v>1516730400</v>
      </c>
    </row>
    <row r="10" customFormat="false" ht="21.75" hidden="false" customHeight="true" outlineLevel="0" collapsed="false">
      <c r="B10" s="59" t="s">
        <v>115</v>
      </c>
      <c r="C10" s="58" t="n">
        <f aca="false">EXPOSURE!C19*(1+(0))*EXPOSURE!C10*(1+(-0.15))</f>
        <v>1245624000</v>
      </c>
      <c r="D10" s="58" t="n">
        <f aca="false">EXPOSURE!C19*(1+(0))*EXPOSURE!C10*(1+(-0.1))</f>
        <v>1318896000</v>
      </c>
      <c r="E10" s="58" t="n">
        <f aca="false">EXPOSURE!C19*(1+(0))*EXPOSURE!C10*(1+(-0.05))</f>
        <v>1392168000</v>
      </c>
      <c r="F10" s="60" t="n">
        <f aca="false">EXPOSURE!C19*(1+(0))*EXPOSURE!C10*(1+(0))</f>
        <v>1465440000</v>
      </c>
      <c r="G10" s="58" t="n">
        <f aca="false">EXPOSURE!C19*(1+(0))*EXPOSURE!C10*(1+(0.05))</f>
        <v>1538712000</v>
      </c>
      <c r="H10" s="58" t="n">
        <f aca="false">EXPOSURE!C19*(1+(0))*EXPOSURE!C10*(1+(0.1))</f>
        <v>1611984000</v>
      </c>
      <c r="I10" s="58" t="n">
        <f aca="false">EXPOSURE!C19*(1+(0))*EXPOSURE!C10*(1+(0.15))</f>
        <v>1685256000</v>
      </c>
    </row>
    <row r="11" customFormat="false" ht="21.75" hidden="false" customHeight="true" outlineLevel="0" collapsed="false">
      <c r="B11" s="57" t="s">
        <v>116</v>
      </c>
      <c r="C11" s="58" t="n">
        <f aca="false">EXPOSURE!C19*(1+(0.1))*EXPOSURE!C10*(1+(-0.15))</f>
        <v>1370186400</v>
      </c>
      <c r="D11" s="58" t="n">
        <f aca="false">EXPOSURE!C19*(1+(0.1))*EXPOSURE!C10*(1+(-0.1))</f>
        <v>1450785600</v>
      </c>
      <c r="E11" s="58" t="n">
        <f aca="false">EXPOSURE!C19*(1+(0.1))*EXPOSURE!C10*(1+(-0.05))</f>
        <v>1531384800</v>
      </c>
      <c r="F11" s="58" t="n">
        <f aca="false">EXPOSURE!C19*(1+(0.1))*EXPOSURE!C10*(1+(0))</f>
        <v>1611984000</v>
      </c>
      <c r="G11" s="58" t="n">
        <f aca="false">EXPOSURE!C19*(1+(0.1))*EXPOSURE!C10*(1+(0.05))</f>
        <v>1692583200</v>
      </c>
      <c r="H11" s="58" t="n">
        <f aca="false">EXPOSURE!C19*(1+(0.1))*EXPOSURE!C10*(1+(0.1))</f>
        <v>1773182400</v>
      </c>
      <c r="I11" s="58" t="n">
        <f aca="false">EXPOSURE!C19*(1+(0.1))*EXPOSURE!C10*(1+(0.15))</f>
        <v>1853781600</v>
      </c>
    </row>
    <row r="12" customFormat="false" ht="21.75" hidden="false" customHeight="true" outlineLevel="0" collapsed="false">
      <c r="B12" s="57" t="s">
        <v>117</v>
      </c>
      <c r="C12" s="58" t="n">
        <f aca="false">EXPOSURE!C19*(1+(0.2))*EXPOSURE!C10*(1+(-0.15))</f>
        <v>1494748800</v>
      </c>
      <c r="D12" s="58" t="n">
        <f aca="false">EXPOSURE!C19*(1+(0.2))*EXPOSURE!C10*(1+(-0.1))</f>
        <v>1582675200</v>
      </c>
      <c r="E12" s="58" t="n">
        <f aca="false">EXPOSURE!C19*(1+(0.2))*EXPOSURE!C10*(1+(-0.05))</f>
        <v>1670601600</v>
      </c>
      <c r="F12" s="58" t="n">
        <f aca="false">EXPOSURE!C19*(1+(0.2))*EXPOSURE!C10*(1+(0))</f>
        <v>1758528000</v>
      </c>
      <c r="G12" s="58" t="n">
        <f aca="false">EXPOSURE!C19*(1+(0.2))*EXPOSURE!C10*(1+(0.05))</f>
        <v>1846454400</v>
      </c>
      <c r="H12" s="58" t="n">
        <f aca="false">EXPOSURE!C19*(1+(0.2))*EXPOSURE!C10*(1+(0.1))</f>
        <v>1934380800</v>
      </c>
      <c r="I12" s="58" t="n">
        <f aca="false">EXPOSURE!C19*(1+(0.2))*EXPOSURE!C10*(1+(0.15))</f>
        <v>2022307200</v>
      </c>
    </row>
    <row r="14" customFormat="false" ht="15.75" hidden="false" customHeight="true" outlineLevel="0" collapsed="false">
      <c r="B14" s="61" t="s">
        <v>118</v>
      </c>
      <c r="C14" s="61"/>
      <c r="D14" s="61"/>
      <c r="E14" s="61"/>
      <c r="F14" s="61"/>
      <c r="G14" s="61"/>
      <c r="H14" s="61"/>
      <c r="I14" s="61"/>
      <c r="J14" s="61"/>
    </row>
    <row r="18" customFormat="false" ht="15.75" hidden="false" customHeight="true" outlineLevel="0" collapsed="false">
      <c r="B18" s="9" t="s">
        <v>21</v>
      </c>
    </row>
  </sheetData>
  <mergeCells count="5">
    <mergeCell ref="B2:J2"/>
    <mergeCell ref="B4:J4"/>
    <mergeCell ref="B6:B7"/>
    <mergeCell ref="C7:J7"/>
    <mergeCell ref="B14:J14"/>
  </mergeCells>
  <conditionalFormatting sqref="C8:I12">
    <cfRule type="colorScale" priority="2">
      <colorScale>
        <cfvo type="min" val="0"/>
        <cfvo type="percentile" val="50"/>
        <cfvo type="max" val="0"/>
        <color rgb="FF63B37B"/>
        <color rgb="FFFFFFFF"/>
        <color rgb="FFE05252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8"/>
    <col collapsed="false" customWidth="true" hidden="false" outlineLevel="0" max="4" min="3" style="1" width="22"/>
    <col collapsed="false" customWidth="true" hidden="false" outlineLevel="0" max="5" min="5" style="1" width="20"/>
  </cols>
  <sheetData>
    <row r="1" customFormat="false" ht="7.5" hidden="false" customHeight="true" outlineLevel="0" collapsed="false"/>
    <row r="2" customFormat="false" ht="30" hidden="false" customHeight="true" outlineLevel="0" collapsed="false">
      <c r="B2" s="10" t="s">
        <v>119</v>
      </c>
      <c r="C2" s="10"/>
      <c r="D2" s="10"/>
      <c r="E2" s="10"/>
    </row>
    <row r="3" customFormat="false" ht="7.5" hidden="false" customHeight="true" outlineLevel="0" collapsed="false"/>
    <row r="4" customFormat="false" ht="15" hidden="false" customHeight="true" outlineLevel="0" collapsed="false">
      <c r="B4" s="11" t="s">
        <v>120</v>
      </c>
      <c r="C4" s="11"/>
      <c r="D4" s="11"/>
      <c r="E4" s="11"/>
    </row>
    <row r="5" customFormat="false" ht="19.5" hidden="false" customHeight="true" outlineLevel="0" collapsed="false">
      <c r="B5" s="12" t="s">
        <v>121</v>
      </c>
      <c r="C5" s="62" t="n">
        <f aca="false">EXPOSURE!C19</f>
        <v>85200000</v>
      </c>
    </row>
    <row r="6" customFormat="false" ht="19.5" hidden="false" customHeight="true" outlineLevel="0" collapsed="false">
      <c r="B6" s="12" t="s">
        <v>122</v>
      </c>
      <c r="C6" s="28" t="n">
        <f aca="false">EXPOSURE!C10</f>
        <v>17.2</v>
      </c>
    </row>
    <row r="7" customFormat="false" ht="19.5" hidden="false" customHeight="true" outlineLevel="0" collapsed="false">
      <c r="B7" s="12" t="s">
        <v>123</v>
      </c>
      <c r="C7" s="63" t="n">
        <f aca="false">INPUTS!C29</f>
        <v>0.05</v>
      </c>
    </row>
    <row r="8" customFormat="false" ht="19.5" hidden="false" customHeight="true" outlineLevel="0" collapsed="false">
      <c r="B8" s="12" t="s">
        <v>124</v>
      </c>
      <c r="C8" s="63" t="n">
        <f aca="false">INPUTS!C30</f>
        <v>0</v>
      </c>
    </row>
    <row r="9" customFormat="false" ht="19.5" hidden="false" customHeight="true" outlineLevel="0" collapsed="false">
      <c r="B9" s="12" t="s">
        <v>125</v>
      </c>
      <c r="C9" s="63" t="n">
        <f aca="false">INPUTS!C31</f>
        <v>0.015</v>
      </c>
    </row>
    <row r="10" customFormat="false" ht="12" hidden="false" customHeight="true" outlineLevel="0" collapsed="false"/>
    <row r="11" customFormat="false" ht="15" hidden="false" customHeight="true" outlineLevel="0" collapsed="false">
      <c r="B11" s="11" t="s">
        <v>126</v>
      </c>
      <c r="C11" s="11"/>
      <c r="D11" s="11"/>
      <c r="E11" s="11"/>
    </row>
    <row r="12" customFormat="false" ht="19.5" hidden="false" customHeight="true" outlineLevel="0" collapsed="false">
      <c r="B12" s="29" t="s">
        <v>127</v>
      </c>
      <c r="C12" s="30" t="n">
        <f aca="false">C5*(1-C8)</f>
        <v>85200000</v>
      </c>
      <c r="D12" s="64" t="s">
        <v>128</v>
      </c>
    </row>
    <row r="13" customFormat="false" ht="19.5" hidden="false" customHeight="true" outlineLevel="0" collapsed="false">
      <c r="B13" s="37" t="s">
        <v>129</v>
      </c>
      <c r="C13" s="38" t="n">
        <f aca="false">C5*C7</f>
        <v>4260000</v>
      </c>
      <c r="D13" s="64" t="s">
        <v>130</v>
      </c>
    </row>
    <row r="14" customFormat="false" ht="19.5" hidden="false" customHeight="true" outlineLevel="0" collapsed="false">
      <c r="B14" s="41" t="s">
        <v>131</v>
      </c>
      <c r="C14" s="65" t="n">
        <f aca="false">C6*(1+C7)</f>
        <v>18.06</v>
      </c>
      <c r="D14" s="66" t="s">
        <v>132</v>
      </c>
    </row>
    <row r="15" customFormat="false" ht="19.5" hidden="false" customHeight="true" outlineLevel="0" collapsed="false">
      <c r="B15" s="37" t="s">
        <v>133</v>
      </c>
      <c r="C15" s="67" t="n">
        <f aca="false">C14-C6</f>
        <v>0.859999999999999</v>
      </c>
      <c r="D15" s="68" t="s">
        <v>134</v>
      </c>
    </row>
    <row r="16" customFormat="false" ht="19.5" hidden="false" customHeight="true" outlineLevel="0" collapsed="false">
      <c r="B16" s="29" t="s">
        <v>135</v>
      </c>
      <c r="C16" s="36" t="n">
        <f aca="false">IF(C6&gt;0,(C14-C6)/C6,0)</f>
        <v>0.05</v>
      </c>
      <c r="D16" s="64"/>
    </row>
    <row r="17" customFormat="false" ht="19.5" hidden="false" customHeight="true" outlineLevel="0" collapsed="false">
      <c r="B17" s="37" t="s">
        <v>136</v>
      </c>
      <c r="C17" s="38" t="n">
        <f aca="false">C12*C9</f>
        <v>1278000</v>
      </c>
      <c r="D17" s="68" t="s">
        <v>137</v>
      </c>
    </row>
    <row r="18" customFormat="false" ht="19.5" hidden="false" customHeight="true" outlineLevel="0" collapsed="false">
      <c r="B18" s="29" t="s">
        <v>138</v>
      </c>
      <c r="C18" s="69" t="n">
        <f aca="false">C13-C17</f>
        <v>2982000</v>
      </c>
      <c r="D18" s="64" t="s">
        <v>139</v>
      </c>
    </row>
    <row r="22" customFormat="false" ht="19.5" hidden="false" customHeight="true" outlineLevel="0" collapsed="false">
      <c r="B22" s="70" t="s">
        <v>140</v>
      </c>
      <c r="C22" s="70"/>
      <c r="D22" s="70"/>
      <c r="E22" s="70"/>
    </row>
    <row r="26" customFormat="false" ht="15.75" hidden="false" customHeight="true" outlineLevel="0" collapsed="false">
      <c r="B26" s="9" t="s">
        <v>21</v>
      </c>
    </row>
  </sheetData>
  <mergeCells count="4">
    <mergeCell ref="B2:E2"/>
    <mergeCell ref="B4:E4"/>
    <mergeCell ref="B11:E11"/>
    <mergeCell ref="B22:E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2"/>
    <col collapsed="false" customWidth="true" hidden="false" outlineLevel="0" max="3" min="3" style="1" width="14"/>
    <col collapsed="false" customWidth="true" hidden="false" outlineLevel="0" max="8" min="4" style="1" width="16"/>
    <col collapsed="false" customWidth="true" hidden="false" outlineLevel="0" max="9" min="9" style="1" width="22"/>
  </cols>
  <sheetData>
    <row r="1" customFormat="false" ht="7.5" hidden="false" customHeight="true" outlineLevel="0" collapsed="false"/>
    <row r="2" customFormat="false" ht="30" hidden="false" customHeight="true" outlineLevel="0" collapsed="false">
      <c r="B2" s="10" t="s">
        <v>141</v>
      </c>
      <c r="C2" s="10"/>
      <c r="D2" s="10"/>
      <c r="E2" s="10"/>
      <c r="F2" s="10"/>
      <c r="G2" s="10"/>
      <c r="H2" s="10"/>
      <c r="I2" s="10"/>
    </row>
    <row r="3" customFormat="false" ht="7.5" hidden="false" customHeight="true" outlineLevel="0" collapsed="false"/>
    <row r="4" customFormat="false" ht="18" hidden="false" customHeight="true" outlineLevel="0" collapsed="false">
      <c r="B4" s="61" t="s">
        <v>142</v>
      </c>
      <c r="C4" s="61"/>
      <c r="D4" s="61"/>
      <c r="E4" s="61"/>
      <c r="F4" s="61"/>
      <c r="G4" s="61"/>
      <c r="H4" s="61"/>
      <c r="I4" s="61"/>
    </row>
    <row r="5" customFormat="false" ht="7.5" hidden="false" customHeight="true" outlineLevel="0" collapsed="false"/>
    <row r="6" customFormat="false" ht="15" hidden="false" customHeight="true" outlineLevel="0" collapsed="false">
      <c r="B6" s="11" t="s">
        <v>143</v>
      </c>
      <c r="C6" s="11"/>
      <c r="D6" s="11"/>
      <c r="E6" s="11"/>
      <c r="F6" s="11"/>
      <c r="G6" s="11"/>
      <c r="H6" s="11"/>
      <c r="I6" s="11"/>
    </row>
    <row r="7" customFormat="false" ht="19.5" hidden="false" customHeight="true" outlineLevel="0" collapsed="false">
      <c r="B7" s="55" t="s">
        <v>144</v>
      </c>
      <c r="C7" s="55" t="s">
        <v>40</v>
      </c>
      <c r="D7" s="55" t="s">
        <v>145</v>
      </c>
      <c r="E7" s="55" t="s">
        <v>146</v>
      </c>
      <c r="F7" s="55" t="s">
        <v>147</v>
      </c>
      <c r="G7" s="55" t="s">
        <v>148</v>
      </c>
      <c r="H7" s="55" t="s">
        <v>149</v>
      </c>
      <c r="I7" s="55" t="s">
        <v>150</v>
      </c>
    </row>
    <row r="8" customFormat="false" ht="19.5" hidden="false" customHeight="true" outlineLevel="0" collapsed="false">
      <c r="B8" s="29" t="s">
        <v>151</v>
      </c>
      <c r="C8" s="22" t="s">
        <v>45</v>
      </c>
      <c r="D8" s="71" t="n">
        <v>14200</v>
      </c>
      <c r="E8" s="72" t="n">
        <f aca="false">IFERROR(INDEX(INPUTS!C14:C23,MATCH(C8,INPUTS!B14:B23,0)),1)</f>
        <v>0.92</v>
      </c>
      <c r="F8" s="31" t="n">
        <f aca="false">D8*E8</f>
        <v>13064</v>
      </c>
      <c r="G8" s="71" t="n">
        <v>180</v>
      </c>
      <c r="H8" s="73" t="n">
        <f aca="false">D8+G8</f>
        <v>14380</v>
      </c>
      <c r="I8" s="74" t="n">
        <f aca="false">RANK(H8,H$8:H$13,1)</f>
        <v>5</v>
      </c>
    </row>
    <row r="9" customFormat="false" ht="19.5" hidden="false" customHeight="true" outlineLevel="0" collapsed="false">
      <c r="B9" s="37" t="s">
        <v>152</v>
      </c>
      <c r="C9" s="22" t="s">
        <v>51</v>
      </c>
      <c r="D9" s="71" t="n">
        <v>13500</v>
      </c>
      <c r="E9" s="67" t="n">
        <f aca="false">IFERROR(INDEX(INPUTS!C14:C23,MATCH(C9,INPUTS!B14:B23,0)),1)</f>
        <v>7.24</v>
      </c>
      <c r="F9" s="39" t="n">
        <f aca="false">D9*E9</f>
        <v>97740</v>
      </c>
      <c r="G9" s="71" t="n">
        <v>320</v>
      </c>
      <c r="H9" s="75" t="n">
        <f aca="false">D9+G9</f>
        <v>13820</v>
      </c>
      <c r="I9" s="76" t="n">
        <f aca="false">RANK(H9,H$8:H$13,1)</f>
        <v>4</v>
      </c>
    </row>
    <row r="10" customFormat="false" ht="19.5" hidden="false" customHeight="true" outlineLevel="0" collapsed="false">
      <c r="B10" s="29" t="s">
        <v>153</v>
      </c>
      <c r="C10" s="22" t="s">
        <v>154</v>
      </c>
      <c r="D10" s="71" t="n">
        <v>13100</v>
      </c>
      <c r="E10" s="72" t="n">
        <f aca="false">IFERROR(INDEX(INPUTS!C14:C23,MATCH(C10,INPUTS!B14:B23,0)),1)</f>
        <v>1</v>
      </c>
      <c r="F10" s="31" t="n">
        <f aca="false">D10*E10</f>
        <v>13100</v>
      </c>
      <c r="G10" s="71" t="n">
        <v>350</v>
      </c>
      <c r="H10" s="73" t="n">
        <f aca="false">D10+G10</f>
        <v>13450</v>
      </c>
      <c r="I10" s="74" t="n">
        <f aca="false">RANK(H10,H$8:H$13,1)</f>
        <v>3</v>
      </c>
    </row>
    <row r="11" customFormat="false" ht="19.5" hidden="false" customHeight="true" outlineLevel="0" collapsed="false">
      <c r="B11" s="37" t="s">
        <v>155</v>
      </c>
      <c r="C11" s="22" t="s">
        <v>45</v>
      </c>
      <c r="D11" s="71" t="n">
        <v>14800</v>
      </c>
      <c r="E11" s="77" t="n">
        <v>1</v>
      </c>
      <c r="F11" s="39" t="n">
        <f aca="false">D11*E11</f>
        <v>14800</v>
      </c>
      <c r="G11" s="71" t="n">
        <v>50</v>
      </c>
      <c r="H11" s="75" t="n">
        <f aca="false">D11+G11</f>
        <v>14850</v>
      </c>
      <c r="I11" s="76" t="n">
        <f aca="false">RANK(H11,H$8:H$13,1)</f>
        <v>6</v>
      </c>
    </row>
    <row r="12" customFormat="false" ht="19.5" hidden="false" customHeight="true" outlineLevel="0" collapsed="false">
      <c r="B12" s="29" t="s">
        <v>156</v>
      </c>
      <c r="C12" s="22" t="s">
        <v>55</v>
      </c>
      <c r="D12" s="71" t="n">
        <v>12900</v>
      </c>
      <c r="E12" s="72" t="n">
        <f aca="false">IFERROR(INDEX(INPUTS!C14:C23,MATCH(C12,INPUTS!B14:B23,0)),1)</f>
        <v>5.08</v>
      </c>
      <c r="F12" s="31" t="n">
        <f aca="false">D12*E12</f>
        <v>65532</v>
      </c>
      <c r="G12" s="71" t="n">
        <v>410</v>
      </c>
      <c r="H12" s="73" t="n">
        <f aca="false">D12+G12</f>
        <v>13310</v>
      </c>
      <c r="I12" s="74" t="n">
        <f aca="false">RANK(H12,H$8:H$13,1)</f>
        <v>2</v>
      </c>
    </row>
    <row r="13" customFormat="false" ht="19.5" hidden="false" customHeight="true" outlineLevel="0" collapsed="false">
      <c r="B13" s="37" t="s">
        <v>157</v>
      </c>
      <c r="C13" s="22" t="s">
        <v>57</v>
      </c>
      <c r="D13" s="71" t="n">
        <v>12600</v>
      </c>
      <c r="E13" s="67" t="n">
        <f aca="false">IFERROR(INDEX(INPUTS!C14:C23,MATCH(C13,INPUTS!B14:B23,0)),1)</f>
        <v>83.5</v>
      </c>
      <c r="F13" s="39" t="n">
        <f aca="false">D13*E13</f>
        <v>1052100</v>
      </c>
      <c r="G13" s="71" t="n">
        <v>480</v>
      </c>
      <c r="H13" s="75" t="n">
        <f aca="false">D13+G13</f>
        <v>13080</v>
      </c>
      <c r="I13" s="76" t="n">
        <f aca="false">RANK(H13,H$8:H$13,1)</f>
        <v>1</v>
      </c>
    </row>
    <row r="16" customFormat="false" ht="15.75" hidden="false" customHeight="true" outlineLevel="0" collapsed="false">
      <c r="B16" s="61" t="s">
        <v>158</v>
      </c>
      <c r="C16" s="61"/>
      <c r="D16" s="61"/>
      <c r="E16" s="61"/>
      <c r="F16" s="61"/>
      <c r="G16" s="61"/>
      <c r="H16" s="61"/>
      <c r="I16" s="61"/>
    </row>
    <row r="20" customFormat="false" ht="15.75" hidden="false" customHeight="true" outlineLevel="0" collapsed="false">
      <c r="B20" s="9" t="s">
        <v>21</v>
      </c>
    </row>
  </sheetData>
  <mergeCells count="4">
    <mergeCell ref="B2:I2"/>
    <mergeCell ref="B4:I4"/>
    <mergeCell ref="B6:I6"/>
    <mergeCell ref="B16:I16"/>
  </mergeCells>
  <conditionalFormatting sqref="I8:I13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2"/>
    <col collapsed="false" customWidth="true" hidden="false" outlineLevel="0" max="6" min="3" style="1" width="20"/>
    <col collapsed="false" customWidth="true" hidden="false" outlineLevel="0" max="7" min="7" style="1" width="28"/>
  </cols>
  <sheetData>
    <row r="1" customFormat="false" ht="7.5" hidden="false" customHeight="true" outlineLevel="0" collapsed="false"/>
    <row r="2" customFormat="false" ht="30" hidden="false" customHeight="true" outlineLevel="0" collapsed="false">
      <c r="B2" s="10" t="s">
        <v>159</v>
      </c>
      <c r="C2" s="10"/>
      <c r="D2" s="10"/>
      <c r="E2" s="10"/>
      <c r="F2" s="10"/>
      <c r="G2" s="10"/>
    </row>
    <row r="3" customFormat="false" ht="7.5" hidden="false" customHeight="true" outlineLevel="0" collapsed="false"/>
    <row r="4" customFormat="false" ht="15" hidden="false" customHeight="true" outlineLevel="0" collapsed="false">
      <c r="B4" s="11" t="s">
        <v>160</v>
      </c>
      <c r="C4" s="11"/>
      <c r="D4" s="11"/>
      <c r="E4" s="11"/>
      <c r="F4" s="11"/>
      <c r="G4" s="11"/>
    </row>
    <row r="5" customFormat="false" ht="19.5" hidden="false" customHeight="true" outlineLevel="0" collapsed="false">
      <c r="B5" s="12" t="s">
        <v>161</v>
      </c>
      <c r="C5" s="22"/>
      <c r="D5" s="22"/>
      <c r="E5" s="22"/>
      <c r="F5" s="22"/>
      <c r="G5" s="22"/>
    </row>
    <row r="6" customFormat="false" ht="19.5" hidden="false" customHeight="true" outlineLevel="0" collapsed="false">
      <c r="B6" s="12" t="s">
        <v>162</v>
      </c>
      <c r="C6" s="22"/>
      <c r="D6" s="22"/>
      <c r="E6" s="22"/>
      <c r="F6" s="22"/>
      <c r="G6" s="22"/>
    </row>
    <row r="7" customFormat="false" ht="19.5" hidden="false" customHeight="true" outlineLevel="0" collapsed="false">
      <c r="B7" s="12" t="s">
        <v>163</v>
      </c>
      <c r="C7" s="22"/>
      <c r="D7" s="22"/>
      <c r="E7" s="22"/>
      <c r="F7" s="22"/>
      <c r="G7" s="22"/>
    </row>
    <row r="8" customFormat="false" ht="19.5" hidden="false" customHeight="true" outlineLevel="0" collapsed="false">
      <c r="B8" s="12" t="s">
        <v>164</v>
      </c>
      <c r="C8" s="22"/>
      <c r="D8" s="22"/>
      <c r="E8" s="22"/>
      <c r="F8" s="22"/>
      <c r="G8" s="22"/>
    </row>
    <row r="9" customFormat="false" ht="19.5" hidden="false" customHeight="true" outlineLevel="0" collapsed="false">
      <c r="B9" s="12" t="s">
        <v>165</v>
      </c>
      <c r="C9" s="22"/>
      <c r="D9" s="22"/>
      <c r="E9" s="22"/>
      <c r="F9" s="22"/>
      <c r="G9" s="22"/>
    </row>
    <row r="10" customFormat="false" ht="19.5" hidden="false" customHeight="true" outlineLevel="0" collapsed="false">
      <c r="B10" s="12" t="s">
        <v>166</v>
      </c>
      <c r="C10" s="22"/>
      <c r="D10" s="22"/>
      <c r="E10" s="22"/>
      <c r="F10" s="22"/>
      <c r="G10" s="22"/>
    </row>
    <row r="11" customFormat="false" ht="19.5" hidden="false" customHeight="true" outlineLevel="0" collapsed="false">
      <c r="B11" s="12" t="s">
        <v>167</v>
      </c>
      <c r="C11" s="22" t="s">
        <v>168</v>
      </c>
      <c r="D11" s="22"/>
      <c r="E11" s="22"/>
      <c r="F11" s="22"/>
      <c r="G11" s="22"/>
    </row>
    <row r="12" customFormat="false" ht="12" hidden="false" customHeight="true" outlineLevel="0" collapsed="false"/>
    <row r="13" customFormat="false" ht="15" hidden="false" customHeight="true" outlineLevel="0" collapsed="false">
      <c r="B13" s="11" t="s">
        <v>169</v>
      </c>
      <c r="C13" s="11"/>
      <c r="D13" s="11"/>
      <c r="E13" s="11"/>
      <c r="F13" s="11"/>
      <c r="G13" s="11"/>
    </row>
    <row r="14" customFormat="false" ht="18" hidden="false" customHeight="true" outlineLevel="0" collapsed="false">
      <c r="B14" s="18" t="s">
        <v>170</v>
      </c>
      <c r="C14" s="18" t="s">
        <v>40</v>
      </c>
      <c r="D14" s="18" t="s">
        <v>171</v>
      </c>
      <c r="E14" s="18" t="s">
        <v>172</v>
      </c>
      <c r="F14" s="18" t="s">
        <v>173</v>
      </c>
      <c r="G14" s="18" t="s">
        <v>174</v>
      </c>
    </row>
    <row r="15" customFormat="false" ht="18" hidden="false" customHeight="true" outlineLevel="0" collapsed="false">
      <c r="B15" s="78"/>
      <c r="C15" s="78"/>
      <c r="D15" s="78"/>
      <c r="E15" s="78"/>
      <c r="F15" s="78"/>
      <c r="G15" s="78"/>
    </row>
    <row r="16" customFormat="false" ht="18" hidden="false" customHeight="true" outlineLevel="0" collapsed="false">
      <c r="B16" s="78"/>
      <c r="C16" s="78"/>
      <c r="D16" s="78"/>
      <c r="E16" s="78"/>
      <c r="F16" s="78"/>
      <c r="G16" s="78"/>
    </row>
    <row r="17" customFormat="false" ht="18" hidden="false" customHeight="true" outlineLevel="0" collapsed="false">
      <c r="B17" s="78"/>
      <c r="C17" s="78"/>
      <c r="D17" s="78"/>
      <c r="E17" s="78"/>
      <c r="F17" s="78"/>
      <c r="G17" s="78"/>
    </row>
    <row r="18" customFormat="false" ht="18" hidden="false" customHeight="true" outlineLevel="0" collapsed="false">
      <c r="B18" s="78"/>
      <c r="C18" s="78"/>
      <c r="D18" s="78"/>
      <c r="E18" s="78"/>
      <c r="F18" s="78"/>
      <c r="G18" s="78"/>
    </row>
    <row r="19" customFormat="false" ht="18" hidden="false" customHeight="true" outlineLevel="0" collapsed="false">
      <c r="B19" s="78"/>
      <c r="C19" s="78"/>
      <c r="D19" s="78"/>
      <c r="E19" s="78"/>
      <c r="F19" s="78"/>
      <c r="G19" s="78"/>
    </row>
    <row r="20" customFormat="false" ht="18" hidden="false" customHeight="true" outlineLevel="0" collapsed="false">
      <c r="B20" s="78"/>
      <c r="C20" s="78"/>
      <c r="D20" s="78"/>
      <c r="E20" s="78"/>
      <c r="F20" s="78"/>
      <c r="G20" s="78"/>
    </row>
    <row r="21" customFormat="false" ht="18" hidden="false" customHeight="true" outlineLevel="0" collapsed="false">
      <c r="B21" s="78"/>
      <c r="C21" s="78"/>
      <c r="D21" s="78"/>
      <c r="E21" s="78"/>
      <c r="F21" s="78"/>
      <c r="G21" s="78"/>
    </row>
    <row r="22" customFormat="false" ht="18" hidden="false" customHeight="true" outlineLevel="0" collapsed="false">
      <c r="B22" s="78"/>
      <c r="C22" s="78"/>
      <c r="D22" s="78"/>
      <c r="E22" s="78"/>
      <c r="F22" s="78"/>
      <c r="G22" s="78"/>
    </row>
    <row r="23" customFormat="false" ht="18" hidden="false" customHeight="true" outlineLevel="0" collapsed="false">
      <c r="B23" s="78"/>
      <c r="C23" s="78"/>
      <c r="D23" s="78"/>
      <c r="E23" s="78"/>
      <c r="F23" s="78"/>
      <c r="G23" s="78"/>
    </row>
    <row r="24" customFormat="false" ht="18" hidden="false" customHeight="true" outlineLevel="0" collapsed="false">
      <c r="B24" s="78"/>
      <c r="C24" s="78"/>
      <c r="D24" s="78"/>
      <c r="E24" s="78"/>
      <c r="F24" s="78"/>
      <c r="G24" s="78"/>
    </row>
    <row r="27" customFormat="false" ht="15.75" hidden="false" customHeight="true" outlineLevel="0" collapsed="false">
      <c r="B27" s="61" t="s">
        <v>175</v>
      </c>
      <c r="C27" s="61"/>
      <c r="D27" s="61"/>
      <c r="E27" s="61"/>
      <c r="F27" s="61"/>
      <c r="G27" s="61"/>
    </row>
    <row r="31" customFormat="false" ht="15.75" hidden="false" customHeight="true" outlineLevel="0" collapsed="false">
      <c r="B31" s="9" t="s">
        <v>176</v>
      </c>
    </row>
  </sheetData>
  <mergeCells count="11">
    <mergeCell ref="B2:G2"/>
    <mergeCell ref="B4:G4"/>
    <mergeCell ref="C5:G5"/>
    <mergeCell ref="C6:G6"/>
    <mergeCell ref="C7:G7"/>
    <mergeCell ref="C8:G8"/>
    <mergeCell ref="C9:G9"/>
    <mergeCell ref="C10:G10"/>
    <mergeCell ref="C11:G11"/>
    <mergeCell ref="B13:G13"/>
    <mergeCell ref="B27:G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2026-05-24T00:01:40Z</dcterms:created>
  <dc:creator>openpyxl</dc:creator>
  <dc:description/>
  <dc:language>en-US</dc:language>
  <cp:lastModifiedBy/>
  <dcterms:modified xsi:type="dcterms:W3CDTF">2026-05-24T00:02:02Z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